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320" windowWidth="9720" windowHeight="6120"/>
  </bookViews>
  <sheets>
    <sheet name="ГИС сводная" sheetId="19" r:id="rId1"/>
  </sheets>
  <definedNames>
    <definedName name="_xlnm.Print_Area" localSheetId="0">'ГИС сводная'!$A$1:$O$40</definedName>
  </definedNames>
  <calcPr calcId="125725"/>
</workbook>
</file>

<file path=xl/calcChain.xml><?xml version="1.0" encoding="utf-8"?>
<calcChain xmlns="http://schemas.openxmlformats.org/spreadsheetml/2006/main">
  <c r="D31" i="19"/>
  <c r="N31" s="1"/>
  <c r="D30"/>
  <c r="N30" s="1"/>
  <c r="N29"/>
  <c r="N9"/>
  <c r="N10"/>
  <c r="N11"/>
  <c r="N12"/>
  <c r="N13"/>
  <c r="N14"/>
  <c r="N15"/>
  <c r="N16"/>
  <c r="N17"/>
  <c r="N18"/>
  <c r="N19"/>
  <c r="N20"/>
  <c r="N21"/>
  <c r="N22"/>
  <c r="N23"/>
  <c r="N24"/>
  <c r="N25"/>
  <c r="N8"/>
  <c r="N26" s="1"/>
  <c r="K36"/>
  <c r="L36"/>
  <c r="M36"/>
  <c r="K33"/>
  <c r="L33"/>
  <c r="M33"/>
  <c r="K32"/>
  <c r="L32"/>
  <c r="M32"/>
  <c r="K26"/>
  <c r="L26"/>
  <c r="M26"/>
  <c r="H21"/>
  <c r="I21"/>
  <c r="J21" s="1"/>
  <c r="H22"/>
  <c r="I22" s="1"/>
  <c r="J22" s="1"/>
  <c r="H23"/>
  <c r="I23"/>
  <c r="J23" s="1"/>
  <c r="L21"/>
  <c r="M21" s="1"/>
  <c r="L22"/>
  <c r="M22"/>
  <c r="L20"/>
  <c r="H35"/>
  <c r="I35" s="1"/>
  <c r="I29"/>
  <c r="J29" s="1"/>
  <c r="A31"/>
  <c r="K21"/>
  <c r="H8"/>
  <c r="I8" s="1"/>
  <c r="H9"/>
  <c r="I9" s="1"/>
  <c r="J9" s="1"/>
  <c r="H10"/>
  <c r="I10"/>
  <c r="J10" s="1"/>
  <c r="H11"/>
  <c r="I11" s="1"/>
  <c r="J11" s="1"/>
  <c r="H12"/>
  <c r="I12"/>
  <c r="J12" s="1"/>
  <c r="H13"/>
  <c r="I13" s="1"/>
  <c r="J13" s="1"/>
  <c r="H14"/>
  <c r="I14"/>
  <c r="J14" s="1"/>
  <c r="H15"/>
  <c r="I15" s="1"/>
  <c r="J15" s="1"/>
  <c r="H16"/>
  <c r="I16"/>
  <c r="J16" s="1"/>
  <c r="H17"/>
  <c r="I17" s="1"/>
  <c r="J17" s="1"/>
  <c r="H18"/>
  <c r="I18"/>
  <c r="J18" s="1"/>
  <c r="H19"/>
  <c r="I19" s="1"/>
  <c r="J19" s="1"/>
  <c r="H20"/>
  <c r="I20"/>
  <c r="J20" s="1"/>
  <c r="H24"/>
  <c r="I24" s="1"/>
  <c r="J24" s="1"/>
  <c r="H25"/>
  <c r="I25"/>
  <c r="J25" s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N32" l="1"/>
  <c r="H31"/>
  <c r="I31" s="1"/>
  <c r="J31" s="1"/>
  <c r="H30"/>
  <c r="I30" s="1"/>
  <c r="J30" s="1"/>
  <c r="J8"/>
  <c r="J26" s="1"/>
  <c r="I26"/>
  <c r="H26"/>
  <c r="J35"/>
  <c r="I32" l="1"/>
  <c r="J32"/>
  <c r="N33"/>
  <c r="N36" s="1"/>
  <c r="J33"/>
  <c r="J36" s="1"/>
  <c r="I33"/>
  <c r="G26"/>
  <c r="G33" l="1"/>
  <c r="G36" s="1"/>
  <c r="I36"/>
</calcChain>
</file>

<file path=xl/sharedStrings.xml><?xml version="1.0" encoding="utf-8"?>
<sst xmlns="http://schemas.openxmlformats.org/spreadsheetml/2006/main" count="99" uniqueCount="62">
  <si>
    <t>1 раз в год</t>
  </si>
  <si>
    <t>4 раза в год</t>
  </si>
  <si>
    <t>Техническое обслуживание внутридомового газового оборудования</t>
  </si>
  <si>
    <t>1 кв.м асфальта</t>
  </si>
  <si>
    <t>1 кв.м лестничных клеток</t>
  </si>
  <si>
    <t>1 кв.м.общей площади</t>
  </si>
  <si>
    <t>1 раз в  2 суток</t>
  </si>
  <si>
    <t>Текущий ремонт</t>
  </si>
  <si>
    <t>ежемесячно</t>
  </si>
  <si>
    <t>1 метр трубопровода</t>
  </si>
  <si>
    <t>Гидравлические испытания системы отопления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</si>
  <si>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</si>
  <si>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</si>
  <si>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Техническое обслуживание мягкой кровли</t>
  </si>
  <si>
    <t>Техническое обслуживание ГЩВУ (ВРУ)</t>
  </si>
  <si>
    <t>Техническое обслуживание системы освещения общего имущества</t>
  </si>
  <si>
    <t xml:space="preserve">Техническое обслуживание электрических сетей и их оборудования на лестничных клетках </t>
  </si>
  <si>
    <t>Осмотр наружных конструкций панельного дома</t>
  </si>
  <si>
    <t>Дератизация, дезинсекция</t>
  </si>
  <si>
    <t>Проверка дымоходов и вентканалов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</si>
  <si>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</si>
  <si>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</si>
  <si>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</si>
  <si>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№</t>
  </si>
  <si>
    <t>Наименование работы</t>
  </si>
  <si>
    <t>Итого стоимость в руб. в год</t>
  </si>
  <si>
    <t>Тариф на 1м2/мес. в руб.</t>
  </si>
  <si>
    <t>1 кв.м.общ.пл.</t>
  </si>
  <si>
    <t>Согласно правилам и нормам обслуживания жилого фонда</t>
  </si>
  <si>
    <t xml:space="preserve"> Площадь МКД</t>
  </si>
  <si>
    <t>1 кв.м.общ.жил.пл.</t>
  </si>
  <si>
    <t>по графику</t>
  </si>
  <si>
    <t>Итого стоимость в месяц, руб.</t>
  </si>
  <si>
    <t>Содержание общего имущества и управление МКД</t>
  </si>
  <si>
    <t>1 кв.м кровли( ст-ть пересчитана на 1 кв.м. об.пл.)</t>
  </si>
  <si>
    <t>1 ВРУ  ( ст-ть пересчитана на 1 кв.м. об.пл.)</t>
  </si>
  <si>
    <t>1 кв.м площади вспомогательных помещений ( ст-ть пересчитана на 1 кв.м. об.пл.)</t>
  </si>
  <si>
    <t>1 кв.м лестничных клеток ( ст-ть пересчитана на 1 кв.м. об.пл.)</t>
  </si>
  <si>
    <t xml:space="preserve">1 кв.м.общ.пл. </t>
  </si>
  <si>
    <t>Стоимость на 1 кв м об пл</t>
  </si>
  <si>
    <t>Дежурство слесарей, электриков</t>
  </si>
  <si>
    <t>1 кв.м. общ.пл.</t>
  </si>
  <si>
    <t>Площадь ОИ</t>
  </si>
  <si>
    <t>убрать при печати</t>
  </si>
  <si>
    <t>г. Рязань ул. Костычева д. 12  корп. 1</t>
  </si>
  <si>
    <t xml:space="preserve">Уборка лестничных площадок и маршей 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</si>
  <si>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</si>
  <si>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</si>
  <si>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</si>
  <si>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постоянно</t>
  </si>
  <si>
    <t>Периодичность</t>
  </si>
  <si>
    <t>Количество</t>
  </si>
  <si>
    <t>Ед.изм.</t>
  </si>
  <si>
    <t>Цена (руб.)</t>
  </si>
  <si>
    <t>Объем</t>
  </si>
  <si>
    <t>Итого</t>
  </si>
  <si>
    <t>КРСОИ</t>
  </si>
  <si>
    <t>3 раза в год-вентканалы в МКД с газовыми приборами, раз в год-в МКД с электроплитами</t>
  </si>
  <si>
    <t xml:space="preserve">Тариф с КРСОИ на 1м2/мес. в руб. </t>
  </si>
  <si>
    <t>Подметание прилегающей территории, содержание и уборка контейнерных площадок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</si>
  <si>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</si>
  <si>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с 05.02.2027 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</si>
</sst>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0;[Red]0.00"/>
  </numFmts>
  <fonts count="9">
    <font>
      <sz val="10"/>
      <name val="Arial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color indexed="8"/>
      <name val="Cambria"/>
      <family val="1"/>
      <charset val="204"/>
    </font>
    <font>
      <b/>
      <sz val="10"/>
      <name val="Arial"/>
      <family val="2"/>
      <charset val="204"/>
    </font>
    <font>
      <sz val="12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4" fontId="2" fillId="0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/>
    <xf numFmtId="4" fontId="4" fillId="0" borderId="0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/>
    <xf numFmtId="4" fontId="2" fillId="0" borderId="0" xfId="0" applyNumberFormat="1" applyFont="1" applyFill="1"/>
    <xf numFmtId="0" fontId="2" fillId="3" borderId="0" xfId="0" applyFont="1" applyFill="1"/>
    <xf numFmtId="0" fontId="2" fillId="0" borderId="0" xfId="0" applyFont="1" applyAlignment="1">
      <alignment horizontal="center" vertical="center"/>
    </xf>
    <xf numFmtId="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justify" wrapText="1"/>
    </xf>
    <xf numFmtId="0" fontId="2" fillId="2" borderId="1" xfId="0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justify" vertical="center" wrapText="1"/>
    </xf>
    <xf numFmtId="0" fontId="4" fillId="3" borderId="0" xfId="0" applyFont="1" applyFill="1"/>
    <xf numFmtId="0" fontId="3" fillId="3" borderId="0" xfId="0" applyFont="1" applyFill="1"/>
    <xf numFmtId="0" fontId="2" fillId="3" borderId="0" xfId="0" applyFont="1" applyFill="1" applyBorder="1" applyAlignment="1"/>
    <xf numFmtId="4" fontId="2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/>
    <xf numFmtId="0" fontId="2" fillId="0" borderId="8" xfId="0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right"/>
    </xf>
    <xf numFmtId="4" fontId="3" fillId="0" borderId="4" xfId="0" applyNumberFormat="1" applyFont="1" applyFill="1" applyBorder="1" applyAlignment="1">
      <alignment horizontal="right"/>
    </xf>
    <xf numFmtId="4" fontId="3" fillId="0" borderId="2" xfId="0" applyNumberFormat="1" applyFont="1" applyFill="1" applyBorder="1"/>
    <xf numFmtId="4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right"/>
    </xf>
    <xf numFmtId="4" fontId="4" fillId="0" borderId="2" xfId="0" applyNumberFormat="1" applyFont="1" applyFill="1" applyBorder="1" applyAlignment="1">
      <alignment horizontal="right"/>
    </xf>
    <xf numFmtId="4" fontId="4" fillId="0" borderId="2" xfId="0" applyNumberFormat="1" applyFont="1" applyFill="1" applyBorder="1" applyAlignment="1">
      <alignment horizontal="center"/>
    </xf>
    <xf numFmtId="4" fontId="4" fillId="0" borderId="1" xfId="0" applyNumberFormat="1" applyFont="1" applyFill="1" applyBorder="1"/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0" fontId="0" fillId="0" borderId="7" xfId="0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Alignment="1"/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tabSelected="1" view="pageBreakPreview" topLeftCell="A19" zoomScale="75" zoomScaleNormal="100" zoomScaleSheetLayoutView="75" workbookViewId="0">
      <selection activeCell="O25" sqref="O25"/>
    </sheetView>
  </sheetViews>
  <sheetFormatPr defaultColWidth="8.85546875" defaultRowHeight="15.75"/>
  <cols>
    <col min="1" max="1" width="5.85546875" style="2" customWidth="1"/>
    <col min="2" max="2" width="48" style="2" customWidth="1"/>
    <col min="3" max="3" width="22.5703125" style="2" customWidth="1"/>
    <col min="4" max="4" width="14.7109375" style="2" hidden="1" customWidth="1"/>
    <col min="5" max="5" width="12.42578125" style="2" customWidth="1"/>
    <col min="6" max="6" width="22.85546875" style="1" customWidth="1"/>
    <col min="7" max="7" width="14.5703125" style="1" hidden="1" customWidth="1"/>
    <col min="8" max="8" width="18.85546875" style="37" hidden="1" customWidth="1"/>
    <col min="9" max="9" width="16.28515625" style="26" hidden="1" customWidth="1"/>
    <col min="10" max="10" width="13.28515625" style="26" hidden="1" customWidth="1"/>
    <col min="11" max="11" width="12.140625" style="39" hidden="1" customWidth="1"/>
    <col min="12" max="12" width="13" style="39" hidden="1" customWidth="1"/>
    <col min="13" max="13" width="11.85546875" style="39" hidden="1" customWidth="1"/>
    <col min="14" max="14" width="17.42578125" style="39" customWidth="1"/>
    <col min="15" max="16" width="8.85546875" style="2"/>
    <col min="17" max="17" width="11.5703125" style="2" bestFit="1" customWidth="1"/>
    <col min="18" max="16384" width="8.85546875" style="2"/>
  </cols>
  <sheetData>
    <row r="1" spans="1:15">
      <c r="F1" s="56"/>
      <c r="G1" s="7"/>
      <c r="H1" s="25"/>
    </row>
    <row r="2" spans="1:15">
      <c r="E2" s="99"/>
      <c r="F2" s="98"/>
      <c r="G2" s="98"/>
      <c r="H2" s="98"/>
      <c r="I2" s="98"/>
      <c r="J2" s="98"/>
      <c r="K2" s="98"/>
      <c r="L2" s="98"/>
      <c r="M2" s="98"/>
      <c r="N2" s="98"/>
      <c r="O2" s="98"/>
    </row>
    <row r="3" spans="1:15" ht="15" customHeight="1">
      <c r="A3" s="100" t="s">
        <v>61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</row>
    <row r="4" spans="1:15" s="38" customFormat="1" ht="39.75" customHeight="1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</row>
    <row r="5" spans="1:15" ht="20.25" customHeight="1">
      <c r="A5" s="8"/>
      <c r="B5" s="8" t="s">
        <v>44</v>
      </c>
      <c r="C5" s="8" t="s">
        <v>29</v>
      </c>
      <c r="D5" s="9">
        <v>4373.8</v>
      </c>
      <c r="E5" s="9">
        <v>4373.8</v>
      </c>
      <c r="F5" s="10"/>
      <c r="G5" s="10"/>
      <c r="H5" s="27"/>
      <c r="I5" s="28"/>
      <c r="K5" s="8"/>
      <c r="L5" s="8"/>
    </row>
    <row r="6" spans="1:15" ht="20.25" customHeight="1">
      <c r="A6" s="104" t="s">
        <v>33</v>
      </c>
      <c r="B6" s="104"/>
      <c r="C6" s="104"/>
      <c r="D6" s="104"/>
      <c r="E6" s="104"/>
      <c r="F6" s="104"/>
      <c r="G6" s="104"/>
      <c r="H6" s="104"/>
      <c r="I6" s="104"/>
      <c r="K6" s="101" t="s">
        <v>43</v>
      </c>
      <c r="L6" s="102"/>
      <c r="M6" s="102"/>
    </row>
    <row r="7" spans="1:15" ht="53.45" customHeight="1">
      <c r="A7" s="11" t="s">
        <v>23</v>
      </c>
      <c r="B7" s="11" t="s">
        <v>24</v>
      </c>
      <c r="C7" s="11" t="s">
        <v>52</v>
      </c>
      <c r="D7" s="11" t="s">
        <v>53</v>
      </c>
      <c r="E7" s="11" t="s">
        <v>54</v>
      </c>
      <c r="F7" s="12" t="s">
        <v>50</v>
      </c>
      <c r="G7" s="12" t="s">
        <v>51</v>
      </c>
      <c r="H7" s="29" t="s">
        <v>32</v>
      </c>
      <c r="I7" s="24" t="s">
        <v>25</v>
      </c>
      <c r="J7" s="29" t="s">
        <v>39</v>
      </c>
      <c r="K7" s="11" t="s">
        <v>42</v>
      </c>
      <c r="L7" s="11"/>
      <c r="M7" s="53"/>
      <c r="N7" s="29" t="s">
        <v>39</v>
      </c>
    </row>
    <row r="8" spans="1:15" ht="63">
      <c r="A8" s="11">
        <v>1</v>
      </c>
      <c r="B8" s="13" t="s">
        <v>12</v>
      </c>
      <c r="C8" s="11" t="s">
        <v>27</v>
      </c>
      <c r="D8" s="5">
        <v>0.33</v>
      </c>
      <c r="E8" s="5">
        <v>4373.8</v>
      </c>
      <c r="F8" s="12" t="s">
        <v>28</v>
      </c>
      <c r="G8" s="12">
        <v>12</v>
      </c>
      <c r="H8" s="30">
        <f t="shared" ref="H8:H25" si="0">D8*E8</f>
        <v>1443.354</v>
      </c>
      <c r="I8" s="24">
        <f t="shared" ref="I8:I25" si="1">H8*G8</f>
        <v>17320.248</v>
      </c>
      <c r="J8" s="31">
        <f>I8/G8/E8</f>
        <v>0.33</v>
      </c>
      <c r="K8" s="11"/>
      <c r="L8" s="11"/>
      <c r="M8" s="53"/>
      <c r="N8" s="55">
        <f>J8*1.04*1.092*1.072*1.0915*1.1304*1.108</f>
        <v>0.54923771563469515</v>
      </c>
    </row>
    <row r="9" spans="1:15" ht="63">
      <c r="A9" s="11">
        <f t="shared" ref="A9:A25" si="2">A8+1</f>
        <v>2</v>
      </c>
      <c r="B9" s="47" t="s">
        <v>46</v>
      </c>
      <c r="C9" s="11" t="s">
        <v>27</v>
      </c>
      <c r="D9" s="5">
        <v>0.08</v>
      </c>
      <c r="E9" s="5">
        <v>4373.8</v>
      </c>
      <c r="F9" s="12" t="s">
        <v>28</v>
      </c>
      <c r="G9" s="12">
        <v>12</v>
      </c>
      <c r="H9" s="30">
        <f t="shared" si="0"/>
        <v>349.904</v>
      </c>
      <c r="I9" s="24">
        <f t="shared" si="1"/>
        <v>4198.848</v>
      </c>
      <c r="J9" s="31">
        <f t="shared" ref="J9:J25" si="3">I9/G9/E9</f>
        <v>0.08</v>
      </c>
      <c r="K9" s="11"/>
      <c r="L9" s="11"/>
      <c r="M9" s="53"/>
      <c r="N9" s="55">
        <f t="shared" ref="N9:N25" si="4">J9*1.04*1.092*1.072*1.0915*1.1304*1.108</f>
        <v>0.13314853712356248</v>
      </c>
    </row>
    <row r="10" spans="1:15" ht="63">
      <c r="A10" s="11">
        <f t="shared" si="2"/>
        <v>3</v>
      </c>
      <c r="B10" s="13" t="s">
        <v>13</v>
      </c>
      <c r="C10" s="11" t="s">
        <v>34</v>
      </c>
      <c r="D10" s="5">
        <v>0.16</v>
      </c>
      <c r="E10" s="5">
        <v>4373.8</v>
      </c>
      <c r="F10" s="12" t="s">
        <v>28</v>
      </c>
      <c r="G10" s="12">
        <v>12</v>
      </c>
      <c r="H10" s="30">
        <f t="shared" si="0"/>
        <v>699.80799999999999</v>
      </c>
      <c r="I10" s="24">
        <f t="shared" si="1"/>
        <v>8397.6959999999999</v>
      </c>
      <c r="J10" s="31">
        <f t="shared" si="3"/>
        <v>0.16</v>
      </c>
      <c r="K10" s="11"/>
      <c r="L10" s="11"/>
      <c r="M10" s="53"/>
      <c r="N10" s="55">
        <f t="shared" si="4"/>
        <v>0.26629707424712495</v>
      </c>
    </row>
    <row r="11" spans="1:15" ht="30" customHeight="1">
      <c r="A11" s="11">
        <f t="shared" si="2"/>
        <v>4</v>
      </c>
      <c r="B11" s="13" t="s">
        <v>14</v>
      </c>
      <c r="C11" s="11" t="s">
        <v>35</v>
      </c>
      <c r="D11" s="5">
        <v>7.0000000000000007E-2</v>
      </c>
      <c r="E11" s="5">
        <v>4373.8</v>
      </c>
      <c r="F11" s="12" t="s">
        <v>28</v>
      </c>
      <c r="G11" s="12">
        <v>12</v>
      </c>
      <c r="H11" s="30">
        <f t="shared" si="0"/>
        <v>306.16600000000005</v>
      </c>
      <c r="I11" s="24">
        <f t="shared" si="1"/>
        <v>3673.9920000000006</v>
      </c>
      <c r="J11" s="31">
        <f t="shared" si="3"/>
        <v>7.0000000000000007E-2</v>
      </c>
      <c r="K11" s="11"/>
      <c r="L11" s="11"/>
      <c r="M11" s="53"/>
      <c r="N11" s="55">
        <f t="shared" si="4"/>
        <v>0.11650496998311718</v>
      </c>
    </row>
    <row r="12" spans="1:15" ht="78.75">
      <c r="A12" s="11">
        <f t="shared" si="2"/>
        <v>5</v>
      </c>
      <c r="B12" s="13" t="s">
        <v>15</v>
      </c>
      <c r="C12" s="11" t="s">
        <v>36</v>
      </c>
      <c r="D12" s="5">
        <v>0.04</v>
      </c>
      <c r="E12" s="5">
        <v>4373.8</v>
      </c>
      <c r="F12" s="12" t="s">
        <v>28</v>
      </c>
      <c r="G12" s="12">
        <v>12</v>
      </c>
      <c r="H12" s="30">
        <f t="shared" si="0"/>
        <v>174.952</v>
      </c>
      <c r="I12" s="24">
        <f t="shared" si="1"/>
        <v>2099.424</v>
      </c>
      <c r="J12" s="31">
        <f t="shared" si="3"/>
        <v>0.04</v>
      </c>
      <c r="K12" s="11"/>
      <c r="L12" s="11"/>
      <c r="M12" s="53"/>
      <c r="N12" s="55">
        <f t="shared" si="4"/>
        <v>6.6574268561781239E-2</v>
      </c>
    </row>
    <row r="13" spans="1:15" ht="63">
      <c r="A13" s="11">
        <f t="shared" si="2"/>
        <v>6</v>
      </c>
      <c r="B13" s="13" t="s">
        <v>16</v>
      </c>
      <c r="C13" s="11" t="s">
        <v>37</v>
      </c>
      <c r="D13" s="5">
        <v>0.2</v>
      </c>
      <c r="E13" s="5">
        <v>4373.8</v>
      </c>
      <c r="F13" s="12" t="s">
        <v>28</v>
      </c>
      <c r="G13" s="12">
        <v>12</v>
      </c>
      <c r="H13" s="30">
        <f t="shared" si="0"/>
        <v>874.7600000000001</v>
      </c>
      <c r="I13" s="24">
        <f t="shared" si="1"/>
        <v>10497.12</v>
      </c>
      <c r="J13" s="31">
        <f t="shared" si="3"/>
        <v>0.2</v>
      </c>
      <c r="K13" s="11"/>
      <c r="L13" s="11"/>
      <c r="M13" s="53"/>
      <c r="N13" s="55">
        <f t="shared" si="4"/>
        <v>0.33287134280890623</v>
      </c>
    </row>
    <row r="14" spans="1:15" ht="63">
      <c r="A14" s="11">
        <f t="shared" si="2"/>
        <v>7</v>
      </c>
      <c r="B14" s="13" t="s">
        <v>47</v>
      </c>
      <c r="C14" s="11" t="s">
        <v>5</v>
      </c>
      <c r="D14" s="5">
        <v>0.18000000000000002</v>
      </c>
      <c r="E14" s="5">
        <v>4373.8</v>
      </c>
      <c r="F14" s="12" t="s">
        <v>28</v>
      </c>
      <c r="G14" s="12">
        <v>12</v>
      </c>
      <c r="H14" s="30">
        <f t="shared" si="0"/>
        <v>787.28400000000011</v>
      </c>
      <c r="I14" s="24">
        <f t="shared" si="1"/>
        <v>9447.4080000000013</v>
      </c>
      <c r="J14" s="31">
        <f t="shared" si="3"/>
        <v>0.18000000000000002</v>
      </c>
      <c r="K14" s="11"/>
      <c r="L14" s="11"/>
      <c r="M14" s="53"/>
      <c r="N14" s="55">
        <f t="shared" si="4"/>
        <v>0.29958420852801565</v>
      </c>
    </row>
    <row r="15" spans="1:15" ht="63">
      <c r="A15" s="11">
        <f t="shared" si="2"/>
        <v>8</v>
      </c>
      <c r="B15" s="13" t="s">
        <v>17</v>
      </c>
      <c r="C15" s="11" t="s">
        <v>5</v>
      </c>
      <c r="D15" s="5">
        <v>0.19</v>
      </c>
      <c r="E15" s="5">
        <v>4373.8</v>
      </c>
      <c r="F15" s="12" t="s">
        <v>28</v>
      </c>
      <c r="G15" s="12">
        <v>12</v>
      </c>
      <c r="H15" s="30">
        <f t="shared" si="0"/>
        <v>831.02200000000005</v>
      </c>
      <c r="I15" s="24">
        <f t="shared" si="1"/>
        <v>9972.264000000001</v>
      </c>
      <c r="J15" s="31">
        <f t="shared" si="3"/>
        <v>0.19</v>
      </c>
      <c r="K15" s="11"/>
      <c r="L15" s="11"/>
      <c r="M15" s="53"/>
      <c r="N15" s="55">
        <f t="shared" si="4"/>
        <v>0.31622777566846089</v>
      </c>
    </row>
    <row r="16" spans="1:15" ht="33" customHeight="1">
      <c r="A16" s="11">
        <f t="shared" si="2"/>
        <v>9</v>
      </c>
      <c r="B16" s="13" t="s">
        <v>48</v>
      </c>
      <c r="C16" s="11" t="s">
        <v>27</v>
      </c>
      <c r="D16" s="5">
        <v>0.52</v>
      </c>
      <c r="E16" s="5">
        <v>4373.8</v>
      </c>
      <c r="F16" s="12" t="s">
        <v>49</v>
      </c>
      <c r="G16" s="12">
        <v>12</v>
      </c>
      <c r="H16" s="30">
        <f t="shared" si="0"/>
        <v>2274.3760000000002</v>
      </c>
      <c r="I16" s="24">
        <f t="shared" si="1"/>
        <v>27292.512000000002</v>
      </c>
      <c r="J16" s="31">
        <f t="shared" si="3"/>
        <v>0.52</v>
      </c>
      <c r="K16" s="11"/>
      <c r="L16" s="11"/>
      <c r="M16" s="53"/>
      <c r="N16" s="55">
        <f t="shared" si="4"/>
        <v>0.8654654913031562</v>
      </c>
    </row>
    <row r="17" spans="1:15" ht="33" customHeight="1">
      <c r="A17" s="11">
        <f t="shared" si="2"/>
        <v>10</v>
      </c>
      <c r="B17" s="13" t="s">
        <v>40</v>
      </c>
      <c r="C17" s="11" t="s">
        <v>41</v>
      </c>
      <c r="D17" s="5">
        <v>0.44</v>
      </c>
      <c r="E17" s="5">
        <v>4373.8</v>
      </c>
      <c r="F17" s="12" t="s">
        <v>49</v>
      </c>
      <c r="G17" s="12">
        <v>12</v>
      </c>
      <c r="H17" s="30">
        <f t="shared" si="0"/>
        <v>1924.472</v>
      </c>
      <c r="I17" s="24">
        <f t="shared" si="1"/>
        <v>23093.664000000001</v>
      </c>
      <c r="J17" s="31">
        <f t="shared" si="3"/>
        <v>0.44</v>
      </c>
      <c r="K17" s="11"/>
      <c r="L17" s="11"/>
      <c r="M17" s="53"/>
      <c r="N17" s="55">
        <f t="shared" si="4"/>
        <v>0.73231695417959375</v>
      </c>
    </row>
    <row r="18" spans="1:15" ht="41.25" customHeight="1">
      <c r="A18" s="11">
        <f t="shared" si="2"/>
        <v>11</v>
      </c>
      <c r="B18" s="13" t="s">
        <v>18</v>
      </c>
      <c r="C18" s="11" t="s">
        <v>5</v>
      </c>
      <c r="D18" s="5">
        <v>0.05</v>
      </c>
      <c r="E18" s="5">
        <v>4373.8</v>
      </c>
      <c r="F18" s="12" t="s">
        <v>1</v>
      </c>
      <c r="G18" s="12">
        <v>12</v>
      </c>
      <c r="H18" s="30">
        <f t="shared" si="0"/>
        <v>218.69000000000003</v>
      </c>
      <c r="I18" s="24">
        <f t="shared" si="1"/>
        <v>2624.28</v>
      </c>
      <c r="J18" s="31">
        <f t="shared" si="3"/>
        <v>0.05</v>
      </c>
      <c r="K18" s="11"/>
      <c r="L18" s="11"/>
      <c r="M18" s="53"/>
      <c r="N18" s="55">
        <f t="shared" si="4"/>
        <v>8.3217835702226559E-2</v>
      </c>
    </row>
    <row r="19" spans="1:15" ht="97.5" customHeight="1">
      <c r="A19" s="11">
        <f t="shared" si="2"/>
        <v>12</v>
      </c>
      <c r="B19" s="13" t="s">
        <v>19</v>
      </c>
      <c r="C19" s="11" t="s">
        <v>5</v>
      </c>
      <c r="D19" s="5">
        <v>0.08</v>
      </c>
      <c r="E19" s="5">
        <v>4373.8</v>
      </c>
      <c r="F19" s="12" t="s">
        <v>57</v>
      </c>
      <c r="G19" s="12">
        <v>12</v>
      </c>
      <c r="H19" s="30">
        <f t="shared" si="0"/>
        <v>349.904</v>
      </c>
      <c r="I19" s="24">
        <f t="shared" si="1"/>
        <v>4198.848</v>
      </c>
      <c r="J19" s="31">
        <f t="shared" si="3"/>
        <v>0.08</v>
      </c>
      <c r="K19" s="11"/>
      <c r="L19" s="11"/>
      <c r="M19" s="53"/>
      <c r="N19" s="55">
        <f t="shared" si="4"/>
        <v>0.13314853712356248</v>
      </c>
    </row>
    <row r="20" spans="1:15" ht="31.5">
      <c r="A20" s="11">
        <f t="shared" si="2"/>
        <v>13</v>
      </c>
      <c r="B20" s="13" t="s">
        <v>2</v>
      </c>
      <c r="C20" s="11" t="s">
        <v>38</v>
      </c>
      <c r="D20" s="5">
        <v>0.59</v>
      </c>
      <c r="E20" s="5">
        <v>4373.8</v>
      </c>
      <c r="F20" s="12" t="s">
        <v>0</v>
      </c>
      <c r="G20" s="12">
        <v>12</v>
      </c>
      <c r="H20" s="30">
        <f t="shared" si="0"/>
        <v>2580.5419999999999</v>
      </c>
      <c r="I20" s="24">
        <f t="shared" si="1"/>
        <v>30966.504000000001</v>
      </c>
      <c r="J20" s="31">
        <f t="shared" si="3"/>
        <v>0.59</v>
      </c>
      <c r="K20" s="11">
        <v>29700</v>
      </c>
      <c r="L20" s="11">
        <f>K20/12/E20</f>
        <v>0.56586949563308786</v>
      </c>
      <c r="M20" s="53"/>
      <c r="N20" s="55">
        <f t="shared" si="4"/>
        <v>0.9819704612862733</v>
      </c>
      <c r="O20" s="57"/>
    </row>
    <row r="21" spans="1:15" ht="31.5">
      <c r="A21" s="11">
        <f t="shared" si="2"/>
        <v>14</v>
      </c>
      <c r="B21" s="13" t="s">
        <v>45</v>
      </c>
      <c r="C21" s="11" t="s">
        <v>4</v>
      </c>
      <c r="D21" s="5">
        <v>1.43</v>
      </c>
      <c r="E21" s="5">
        <v>4373.8</v>
      </c>
      <c r="F21" s="12" t="s">
        <v>49</v>
      </c>
      <c r="G21" s="12">
        <v>12</v>
      </c>
      <c r="H21" s="30">
        <f t="shared" si="0"/>
        <v>6254.5339999999997</v>
      </c>
      <c r="I21" s="24">
        <f t="shared" si="1"/>
        <v>75054.407999999996</v>
      </c>
      <c r="J21" s="31">
        <f t="shared" si="3"/>
        <v>1.43</v>
      </c>
      <c r="K21" s="5">
        <f>251+168</f>
        <v>419</v>
      </c>
      <c r="L21" s="5">
        <f>(4728.86+406+42.41)*12</f>
        <v>62127.239999999991</v>
      </c>
      <c r="M21" s="53">
        <f>L21*0.06+L21</f>
        <v>65854.874399999986</v>
      </c>
      <c r="N21" s="55">
        <f t="shared" si="4"/>
        <v>2.3800301010836797</v>
      </c>
    </row>
    <row r="22" spans="1:15" ht="47.25">
      <c r="A22" s="11">
        <f t="shared" si="2"/>
        <v>15</v>
      </c>
      <c r="B22" s="13" t="s">
        <v>59</v>
      </c>
      <c r="C22" s="11" t="s">
        <v>3</v>
      </c>
      <c r="D22" s="5">
        <v>3.1199999999999997</v>
      </c>
      <c r="E22" s="5">
        <v>4373.8</v>
      </c>
      <c r="F22" s="12" t="s">
        <v>6</v>
      </c>
      <c r="G22" s="12">
        <v>12</v>
      </c>
      <c r="H22" s="30">
        <f t="shared" si="0"/>
        <v>13646.255999999999</v>
      </c>
      <c r="I22" s="24">
        <f t="shared" si="1"/>
        <v>163755.07199999999</v>
      </c>
      <c r="J22" s="31">
        <f t="shared" si="3"/>
        <v>3.1199999999999997</v>
      </c>
      <c r="K22" s="11">
        <v>1100</v>
      </c>
      <c r="L22" s="11">
        <f>(7374.53+430+488.82)*12</f>
        <v>99520.200000000012</v>
      </c>
      <c r="M22" s="53">
        <f>L22*0.06+L22</f>
        <v>105491.41200000001</v>
      </c>
      <c r="N22" s="55">
        <f t="shared" si="4"/>
        <v>5.1927929478189361</v>
      </c>
    </row>
    <row r="23" spans="1:15">
      <c r="A23" s="11">
        <f t="shared" si="2"/>
        <v>16</v>
      </c>
      <c r="B23" s="14" t="s">
        <v>20</v>
      </c>
      <c r="C23" s="4" t="s">
        <v>27</v>
      </c>
      <c r="D23" s="5">
        <v>1.25</v>
      </c>
      <c r="E23" s="5">
        <v>4373.8</v>
      </c>
      <c r="F23" s="12" t="s">
        <v>49</v>
      </c>
      <c r="G23" s="12">
        <v>12</v>
      </c>
      <c r="H23" s="30">
        <f t="shared" si="0"/>
        <v>5467.25</v>
      </c>
      <c r="I23" s="24">
        <f t="shared" si="1"/>
        <v>65607</v>
      </c>
      <c r="J23" s="31">
        <f t="shared" si="3"/>
        <v>1.25</v>
      </c>
      <c r="K23" s="11"/>
      <c r="L23" s="11"/>
      <c r="M23" s="53"/>
      <c r="N23" s="55">
        <f t="shared" si="4"/>
        <v>2.0804458925556641</v>
      </c>
    </row>
    <row r="24" spans="1:15">
      <c r="A24" s="11">
        <f t="shared" si="2"/>
        <v>17</v>
      </c>
      <c r="B24" s="14" t="s">
        <v>21</v>
      </c>
      <c r="C24" s="4" t="s">
        <v>30</v>
      </c>
      <c r="D24" s="5">
        <v>0.13</v>
      </c>
      <c r="E24" s="5">
        <v>4373.8</v>
      </c>
      <c r="F24" s="12" t="s">
        <v>49</v>
      </c>
      <c r="G24" s="12">
        <v>12</v>
      </c>
      <c r="H24" s="30">
        <f t="shared" si="0"/>
        <v>568.59400000000005</v>
      </c>
      <c r="I24" s="24">
        <f t="shared" si="1"/>
        <v>6823.1280000000006</v>
      </c>
      <c r="J24" s="31">
        <f t="shared" si="3"/>
        <v>0.13</v>
      </c>
      <c r="K24" s="11"/>
      <c r="L24" s="11"/>
      <c r="M24" s="53"/>
      <c r="N24" s="55">
        <f t="shared" si="4"/>
        <v>0.21636637282578905</v>
      </c>
    </row>
    <row r="25" spans="1:15" ht="48.75" customHeight="1">
      <c r="A25" s="58">
        <f t="shared" si="2"/>
        <v>18</v>
      </c>
      <c r="B25" s="45" t="s">
        <v>22</v>
      </c>
      <c r="C25" s="59" t="s">
        <v>27</v>
      </c>
      <c r="D25" s="60">
        <v>1.27</v>
      </c>
      <c r="E25" s="60">
        <v>4373.8</v>
      </c>
      <c r="F25" s="61" t="s">
        <v>49</v>
      </c>
      <c r="G25" s="61">
        <v>12</v>
      </c>
      <c r="H25" s="62">
        <f t="shared" si="0"/>
        <v>5554.7260000000006</v>
      </c>
      <c r="I25" s="63">
        <f t="shared" si="1"/>
        <v>66656.712</v>
      </c>
      <c r="J25" s="64">
        <f t="shared" si="3"/>
        <v>1.2699999999999998</v>
      </c>
      <c r="K25" s="58"/>
      <c r="L25" s="58"/>
      <c r="M25" s="65"/>
      <c r="N25" s="66">
        <f t="shared" si="4"/>
        <v>2.1137330268365542</v>
      </c>
    </row>
    <row r="26" spans="1:15" s="48" customFormat="1">
      <c r="A26" s="94" t="s">
        <v>55</v>
      </c>
      <c r="B26" s="94"/>
      <c r="C26" s="94"/>
      <c r="D26" s="94"/>
      <c r="E26" s="94"/>
      <c r="F26" s="94"/>
      <c r="G26" s="67">
        <f>I26/12/D5</f>
        <v>10.130000000000001</v>
      </c>
      <c r="H26" s="67">
        <f t="shared" ref="H26:M26" si="5">SUM(H8:H25)</f>
        <v>44306.594000000005</v>
      </c>
      <c r="I26" s="67">
        <f t="shared" si="5"/>
        <v>531679.12800000003</v>
      </c>
      <c r="J26" s="67">
        <f t="shared" si="5"/>
        <v>10.129999999999999</v>
      </c>
      <c r="K26" s="67">
        <f t="shared" si="5"/>
        <v>31219</v>
      </c>
      <c r="L26" s="67">
        <f t="shared" si="5"/>
        <v>161648.00586949562</v>
      </c>
      <c r="M26" s="67">
        <f t="shared" si="5"/>
        <v>171346.28639999998</v>
      </c>
      <c r="N26" s="68">
        <f>SUM(N8:N25)-0.01</f>
        <v>16.849933513271097</v>
      </c>
    </row>
    <row r="27" spans="1:15" s="38" customFormat="1">
      <c r="A27" s="105" t="s">
        <v>7</v>
      </c>
      <c r="B27" s="105"/>
      <c r="C27" s="105"/>
      <c r="D27" s="105"/>
      <c r="E27" s="105"/>
      <c r="F27" s="105"/>
      <c r="G27" s="105"/>
      <c r="H27" s="105"/>
      <c r="I27" s="105"/>
      <c r="J27" s="37"/>
      <c r="K27" s="69"/>
      <c r="L27" s="69"/>
      <c r="M27" s="70"/>
      <c r="N27" s="70"/>
    </row>
    <row r="28" spans="1:15" s="38" customFormat="1" ht="56.25" customHeight="1">
      <c r="A28" s="71" t="s">
        <v>23</v>
      </c>
      <c r="B28" s="71" t="s">
        <v>24</v>
      </c>
      <c r="C28" s="71" t="s">
        <v>52</v>
      </c>
      <c r="D28" s="71" t="s">
        <v>53</v>
      </c>
      <c r="E28" s="71" t="s">
        <v>54</v>
      </c>
      <c r="F28" s="12" t="s">
        <v>50</v>
      </c>
      <c r="G28" s="12" t="s">
        <v>51</v>
      </c>
      <c r="H28" s="29" t="s">
        <v>32</v>
      </c>
      <c r="I28" s="24" t="s">
        <v>25</v>
      </c>
      <c r="J28" s="29" t="s">
        <v>39</v>
      </c>
      <c r="K28" s="71"/>
      <c r="L28" s="71"/>
      <c r="M28" s="72"/>
      <c r="N28" s="29" t="s">
        <v>39</v>
      </c>
    </row>
    <row r="29" spans="1:15" s="38" customFormat="1" ht="28.15" customHeight="1">
      <c r="A29" s="71">
        <v>1</v>
      </c>
      <c r="B29" s="73" t="s">
        <v>7</v>
      </c>
      <c r="C29" s="74"/>
      <c r="D29" s="75">
        <v>2.46</v>
      </c>
      <c r="E29" s="71">
        <v>4373.8</v>
      </c>
      <c r="F29" s="12" t="s">
        <v>31</v>
      </c>
      <c r="G29" s="12">
        <v>12</v>
      </c>
      <c r="H29" s="30"/>
      <c r="I29" s="24">
        <f>D29*E29*G29</f>
        <v>129114.576</v>
      </c>
      <c r="J29" s="76">
        <f>I29/G29/E29</f>
        <v>2.46</v>
      </c>
      <c r="K29" s="71"/>
      <c r="L29" s="71"/>
      <c r="M29" s="72"/>
      <c r="N29" s="77">
        <f>J29*1.04*1.092*1.072*1.0915*1.1304*1.108</f>
        <v>4.0943175165495473</v>
      </c>
    </row>
    <row r="30" spans="1:15" s="38" customFormat="1" ht="36.6" customHeight="1">
      <c r="A30" s="71">
        <v>2</v>
      </c>
      <c r="B30" s="78" t="s">
        <v>10</v>
      </c>
      <c r="C30" s="71" t="s">
        <v>9</v>
      </c>
      <c r="D30" s="75">
        <f>15.97*1.072*1.083*1.1304*1.108</f>
        <v>23.222023881583105</v>
      </c>
      <c r="E30" s="75">
        <v>2500</v>
      </c>
      <c r="F30" s="12" t="s">
        <v>31</v>
      </c>
      <c r="G30" s="12">
        <v>1</v>
      </c>
      <c r="H30" s="30">
        <f>D30*E30</f>
        <v>58055.059703957762</v>
      </c>
      <c r="I30" s="24">
        <f>H30*G30</f>
        <v>58055.059703957762</v>
      </c>
      <c r="J30" s="76">
        <f>I30/12/E29</f>
        <v>1.1061140523106865</v>
      </c>
      <c r="K30" s="71"/>
      <c r="L30" s="71"/>
      <c r="M30" s="72"/>
      <c r="N30" s="77">
        <f>D30*E30/12/E29</f>
        <v>1.1061140523106865</v>
      </c>
    </row>
    <row r="31" spans="1:15" s="38" customFormat="1" ht="34.5" customHeight="1">
      <c r="A31" s="71">
        <f>A30+1</f>
        <v>3</v>
      </c>
      <c r="B31" s="78" t="s">
        <v>11</v>
      </c>
      <c r="C31" s="71" t="s">
        <v>9</v>
      </c>
      <c r="D31" s="75">
        <f>11.52*1.072*1.083*1.1304*1.108</f>
        <v>16.751265818148866</v>
      </c>
      <c r="E31" s="75">
        <v>2500</v>
      </c>
      <c r="F31" s="12" t="s">
        <v>31</v>
      </c>
      <c r="G31" s="12">
        <v>1</v>
      </c>
      <c r="H31" s="30">
        <f>D31*E31</f>
        <v>41878.164545372165</v>
      </c>
      <c r="I31" s="24">
        <f>H31*G31</f>
        <v>41878.164545372165</v>
      </c>
      <c r="J31" s="76">
        <f>I31/12/E29</f>
        <v>0.79789817674509134</v>
      </c>
      <c r="K31" s="71"/>
      <c r="L31" s="71"/>
      <c r="M31" s="72"/>
      <c r="N31" s="77">
        <f>D31*E31/12/E29</f>
        <v>0.79789817674509134</v>
      </c>
    </row>
    <row r="32" spans="1:15" s="49" customFormat="1">
      <c r="A32" s="103" t="s">
        <v>55</v>
      </c>
      <c r="B32" s="103"/>
      <c r="C32" s="103"/>
      <c r="D32" s="103"/>
      <c r="E32" s="103"/>
      <c r="F32" s="103"/>
      <c r="G32" s="79"/>
      <c r="H32" s="80"/>
      <c r="I32" s="81">
        <f>SUM(I29:I31)</f>
        <v>229047.80024932991</v>
      </c>
      <c r="J32" s="82">
        <f>SUM(J29:J31)</f>
        <v>4.3640122290557777</v>
      </c>
      <c r="K32" s="82">
        <f t="shared" ref="K32:M32" si="6">SUM(K29:K31)</f>
        <v>0</v>
      </c>
      <c r="L32" s="82">
        <f t="shared" si="6"/>
        <v>0</v>
      </c>
      <c r="M32" s="82">
        <f t="shared" si="6"/>
        <v>0</v>
      </c>
      <c r="N32" s="83">
        <f>SUM(N29:N31)+0.01</f>
        <v>6.0083297456053248</v>
      </c>
    </row>
    <row r="33" spans="1:14" s="48" customFormat="1">
      <c r="A33" s="94" t="s">
        <v>26</v>
      </c>
      <c r="B33" s="94"/>
      <c r="C33" s="94"/>
      <c r="D33" s="94"/>
      <c r="E33" s="94"/>
      <c r="F33" s="94"/>
      <c r="G33" s="84">
        <f>I33/12/E29</f>
        <v>14.494012229055777</v>
      </c>
      <c r="H33" s="85"/>
      <c r="I33" s="86">
        <f>I26+I32</f>
        <v>760726.92824932991</v>
      </c>
      <c r="J33" s="87">
        <f>SUM(J26+J32)</f>
        <v>14.494012229055777</v>
      </c>
      <c r="K33" s="87">
        <f t="shared" ref="K33:M33" si="7">SUM(K26+K32)</f>
        <v>31219</v>
      </c>
      <c r="L33" s="87">
        <f t="shared" si="7"/>
        <v>161648.00586949562</v>
      </c>
      <c r="M33" s="87">
        <f t="shared" si="7"/>
        <v>171346.28639999998</v>
      </c>
      <c r="N33" s="68">
        <f>N26+N32</f>
        <v>22.85826325887642</v>
      </c>
    </row>
    <row r="34" spans="1:14" s="38" customFormat="1">
      <c r="A34" s="91" t="s">
        <v>56</v>
      </c>
      <c r="B34" s="92"/>
      <c r="C34" s="92"/>
      <c r="D34" s="92"/>
      <c r="E34" s="92"/>
      <c r="F34" s="92"/>
      <c r="G34" s="92"/>
      <c r="H34" s="92"/>
      <c r="I34" s="92"/>
      <c r="J34" s="93"/>
      <c r="K34" s="40"/>
      <c r="L34" s="40"/>
      <c r="M34" s="41"/>
      <c r="N34" s="41"/>
    </row>
    <row r="35" spans="1:14" s="23" customFormat="1" ht="63">
      <c r="A35" s="11">
        <v>1</v>
      </c>
      <c r="B35" s="46" t="s">
        <v>60</v>
      </c>
      <c r="C35" s="21" t="s">
        <v>27</v>
      </c>
      <c r="D35" s="22">
        <v>1.22</v>
      </c>
      <c r="E35" s="5">
        <v>4373.8</v>
      </c>
      <c r="F35" s="42" t="s">
        <v>8</v>
      </c>
      <c r="G35" s="12">
        <v>12</v>
      </c>
      <c r="H35" s="30">
        <f>D35*E35</f>
        <v>5336.0360000000001</v>
      </c>
      <c r="I35" s="24">
        <f>H35*G35</f>
        <v>64032.432000000001</v>
      </c>
      <c r="J35" s="51">
        <f>I35/G35/E35</f>
        <v>1.22</v>
      </c>
      <c r="K35" s="20"/>
      <c r="L35" s="20"/>
      <c r="M35" s="52"/>
      <c r="N35" s="54">
        <v>1.98</v>
      </c>
    </row>
    <row r="36" spans="1:14" s="23" customFormat="1">
      <c r="A36" s="94" t="s">
        <v>58</v>
      </c>
      <c r="B36" s="94"/>
      <c r="C36" s="94"/>
      <c r="D36" s="94"/>
      <c r="E36" s="94"/>
      <c r="F36" s="94"/>
      <c r="G36" s="88">
        <f>G33+D35</f>
        <v>15.714012229055777</v>
      </c>
      <c r="H36" s="89"/>
      <c r="I36" s="90">
        <f>I33+I35</f>
        <v>824759.36024932994</v>
      </c>
      <c r="J36" s="82">
        <f>J35+J33</f>
        <v>15.714012229055777</v>
      </c>
      <c r="K36" s="82">
        <f t="shared" ref="K36:N36" si="8">K35+K33</f>
        <v>31219</v>
      </c>
      <c r="L36" s="82">
        <f t="shared" si="8"/>
        <v>161648.00586949562</v>
      </c>
      <c r="M36" s="82">
        <f t="shared" si="8"/>
        <v>171346.28639999998</v>
      </c>
      <c r="N36" s="83">
        <f t="shared" si="8"/>
        <v>24.83826325887642</v>
      </c>
    </row>
    <row r="37" spans="1:14" s="38" customFormat="1" ht="28.5" customHeight="1">
      <c r="A37" s="50"/>
      <c r="B37" s="95"/>
      <c r="C37" s="95"/>
      <c r="D37" s="95"/>
      <c r="E37" s="95"/>
      <c r="F37" s="95"/>
      <c r="G37" s="95"/>
      <c r="H37" s="95"/>
      <c r="I37" s="95"/>
      <c r="J37" s="96"/>
      <c r="K37" s="96"/>
      <c r="L37" s="96"/>
      <c r="M37" s="96"/>
      <c r="N37" s="96"/>
    </row>
    <row r="38" spans="1:14">
      <c r="A38" s="15"/>
      <c r="B38" s="97"/>
      <c r="C38" s="97"/>
      <c r="D38" s="97"/>
      <c r="E38" s="97"/>
      <c r="F38" s="97"/>
      <c r="G38" s="97"/>
      <c r="H38" s="97"/>
      <c r="I38" s="97"/>
      <c r="J38" s="98"/>
      <c r="K38" s="98"/>
      <c r="L38" s="98"/>
      <c r="M38" s="98"/>
      <c r="N38" s="98"/>
    </row>
    <row r="39" spans="1:14" ht="24" customHeight="1">
      <c r="A39" s="15"/>
      <c r="B39" s="97"/>
      <c r="C39" s="97"/>
      <c r="D39" s="97"/>
      <c r="E39" s="97"/>
      <c r="F39" s="97"/>
      <c r="G39" s="97"/>
      <c r="H39" s="97"/>
      <c r="I39" s="97"/>
      <c r="J39" s="98"/>
      <c r="K39" s="98"/>
      <c r="L39" s="98"/>
      <c r="M39" s="98"/>
      <c r="N39" s="98"/>
    </row>
    <row r="40" spans="1:14" ht="10.5" customHeight="1">
      <c r="A40" s="15"/>
      <c r="B40" s="15"/>
      <c r="C40" s="15"/>
      <c r="D40" s="15"/>
      <c r="E40" s="15"/>
      <c r="F40" s="16"/>
      <c r="G40" s="16"/>
      <c r="H40" s="32"/>
      <c r="I40" s="33"/>
      <c r="K40" s="43"/>
      <c r="L40" s="43"/>
    </row>
    <row r="41" spans="1:14" s="3" customFormat="1">
      <c r="A41" s="17"/>
      <c r="B41" s="18"/>
      <c r="C41" s="17"/>
      <c r="D41" s="18"/>
      <c r="F41" s="19"/>
      <c r="G41" s="19"/>
      <c r="H41" s="34"/>
      <c r="I41" s="35"/>
      <c r="J41" s="36"/>
      <c r="K41" s="6"/>
      <c r="L41" s="6"/>
      <c r="M41" s="44"/>
      <c r="N41" s="44"/>
    </row>
    <row r="42" spans="1:14" s="3" customFormat="1" ht="37.9" customHeight="1">
      <c r="A42" s="17"/>
      <c r="B42" s="17"/>
      <c r="C42" s="17"/>
      <c r="D42" s="18"/>
      <c r="E42" s="17"/>
      <c r="F42" s="19"/>
      <c r="G42" s="19"/>
      <c r="H42" s="34"/>
      <c r="I42" s="35"/>
      <c r="J42" s="36"/>
      <c r="K42" s="6"/>
      <c r="L42" s="6"/>
      <c r="M42" s="44"/>
      <c r="N42" s="44"/>
    </row>
  </sheetData>
  <mergeCells count="11">
    <mergeCell ref="A34:J34"/>
    <mergeCell ref="A36:F36"/>
    <mergeCell ref="B37:N39"/>
    <mergeCell ref="E2:O2"/>
    <mergeCell ref="A3:N4"/>
    <mergeCell ref="K6:M6"/>
    <mergeCell ref="A32:F32"/>
    <mergeCell ref="A33:F33"/>
    <mergeCell ref="A6:I6"/>
    <mergeCell ref="A26:F26"/>
    <mergeCell ref="A27:I27"/>
  </mergeCells>
  <phoneticPr fontId="0" type="noConversion"/>
  <printOptions horizontalCentered="1" verticalCentered="1"/>
  <pageMargins left="0" right="0" top="0.15748031496062992" bottom="0.15748031496062992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ГИС сводная</vt:lpstr>
      <vt:lpstr>'ГИС сводная'!Область_печати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2026-02-06T07:58:00Z</cp:lastPrinted>
  <dcterms:created xsi:type="dcterms:W3CDTF">1996-10-08T23:32:33Z</dcterms:created>
  <dcterms:modified xsi:type="dcterms:W3CDTF">2026-10-08T07:05:14Z</dcterms:modified>
</cp:coreProperties>
</file>